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ypothèses" sheetId="1" state="visible" r:id="rId3"/>
    <sheet name="Modèle annuel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<sst xmlns="http://schemas.openxmlformats.org/spreadsheetml/2006/main" count="86" uniqueCount="86">
  <si>
    <t xml:space="preserve">CHONIG — Modèle financier apicole · Hypothèses</t>
  </si>
  <si>
    <t xml:space="preserve">Texte bleu = valeur modifiable · Texte vert = valeur calculée · Fond jaune = paramètre clé</t>
  </si>
  <si>
    <t xml:space="preserve">1. CHEPTEL</t>
  </si>
  <si>
    <t xml:space="preserve">Ruches initiales (2023)</t>
  </si>
  <si>
    <t xml:space="preserve">Nombre de ruches au démarrage sept. 2023</t>
  </si>
  <si>
    <t xml:space="preserve">Taux de croissance annuel</t>
  </si>
  <si>
    <t xml:space="preserve">Nouvelles ruches créées chaque été</t>
  </si>
  <si>
    <t xml:space="preserve">Taux de pertes annuel</t>
  </si>
  <si>
    <t xml:space="preserve">Pertes hivernales + maladies</t>
  </si>
  <si>
    <t xml:space="preserve">% ruches en production</t>
  </si>
  <si>
    <t xml:space="preserve">Ratio ruches productrices / total</t>
  </si>
  <si>
    <t xml:space="preserve">Production moyenne / ruche / an</t>
  </si>
  <si>
    <t xml:space="preserve">Entre 5 kg (débutant) et 100 kg (intensif)</t>
  </si>
  <si>
    <t xml:space="preserve">2. PRIX DE VENTE</t>
  </si>
  <si>
    <t xml:space="preserve">Prix vente directe — pot 500g</t>
  </si>
  <si>
    <t xml:space="preserve">Soit 26 €/kg équivalent</t>
  </si>
  <si>
    <t xml:space="preserve">Prix retail — pot 500g</t>
  </si>
  <si>
    <t xml:space="preserve">Boutiques, épiceries fines</t>
  </si>
  <si>
    <t xml:space="preserve">Prix grossiste — kg</t>
  </si>
  <si>
    <t xml:space="preserve">Coopératives, revendeurs</t>
  </si>
  <si>
    <t xml:space="preserve">3. MIX DE VENTES (total doit = 100%)</t>
  </si>
  <si>
    <t xml:space="preserve">% vente directe</t>
  </si>
  <si>
    <t xml:space="preserve">Canal le plus rentable</t>
  </si>
  <si>
    <t xml:space="preserve">% retail</t>
  </si>
  <si>
    <t xml:space="preserve">% grossiste</t>
  </si>
  <si>
    <t xml:space="preserve">  ↳ Contrôle total mix</t>
  </si>
  <si>
    <t xml:space="preserve">Doit afficher 100%</t>
  </si>
  <si>
    <t xml:space="preserve">4. FIDÉLISATION CLIENTS</t>
  </si>
  <si>
    <t xml:space="preserve">% clients fidèles (sur vente directe)</t>
  </si>
  <si>
    <t xml:space="preserve">Part des acheteurs directs qui reviennent chaque an</t>
  </si>
  <si>
    <t xml:space="preserve">Pots achetés / client fidèle / an</t>
  </si>
  <si>
    <t xml:space="preserve">Max 10 pots = 5 kg/an par client</t>
  </si>
  <si>
    <t xml:space="preserve">Seuil de déclenchement remise (pots)</t>
  </si>
  <si>
    <t xml:space="preserve">Nb de pots à partir duquel la remise s'applique</t>
  </si>
  <si>
    <t xml:space="preserve">Taux de remise fidélité</t>
  </si>
  <si>
    <t xml:space="preserve">Réduction sur le prix direct si seuil atteint</t>
  </si>
  <si>
    <t xml:space="preserve">  ↳ Prix effectif client fidèle / pot</t>
  </si>
  <si>
    <t xml:space="preserve">5. COÛTS</t>
  </si>
  <si>
    <t xml:space="preserve">Fournitures / ruche / mois</t>
  </si>
  <si>
    <t xml:space="preserve">Nourriture, traitements, matériel</t>
  </si>
  <si>
    <t xml:space="preserve">Nombre de dégustations / an</t>
  </si>
  <si>
    <t xml:space="preserve">Sampling parties à domicile</t>
  </si>
  <si>
    <t xml:space="preserve">Coût par dégustation</t>
  </si>
  <si>
    <t xml:space="preserve">Frais de la soirée</t>
  </si>
  <si>
    <t xml:space="preserve">Salaire mensuel brut (si salarié)</t>
  </si>
  <si>
    <t xml:space="preserve">Salarié actif dès 2025 uniquement si coché</t>
  </si>
  <si>
    <t xml:space="preserve">Salarié actif dès 2025 ? (1=Oui)</t>
  </si>
  <si>
    <t xml:space="preserve">Mettre 1 pour activer, 0 pour désactiver</t>
  </si>
  <si>
    <t xml:space="preserve">Note : 2023 = 4 mois seulement (sept.–déc.). Le modèle applique un coefficient mensuel.</t>
  </si>
  <si>
    <t xml:space="preserve">CHONIG — Modèle financier apicole · Synthèse annuelle 2023–2029</t>
  </si>
  <si>
    <t xml:space="preserve">Valeurs calculées depuis la feuille Hypothèses · Texte bleu = entrée · Texte noir = formule</t>
  </si>
  <si>
    <t xml:space="preserve">2023
(4 mois)</t>
  </si>
  <si>
    <t xml:space="preserve">2024</t>
  </si>
  <si>
    <t xml:space="preserve">2025</t>
  </si>
  <si>
    <t xml:space="preserve">2026</t>
  </si>
  <si>
    <t xml:space="preserve">2027</t>
  </si>
  <si>
    <t xml:space="preserve">2028</t>
  </si>
  <si>
    <t xml:space="preserve">2029</t>
  </si>
  <si>
    <t xml:space="preserve">Total</t>
  </si>
  <si>
    <t xml:space="preserve">CAGR</t>
  </si>
  <si>
    <t xml:space="preserve">A — CHEPTEL</t>
  </si>
  <si>
    <t xml:space="preserve">  Ruches totales (début d'année)</t>
  </si>
  <si>
    <t xml:space="preserve">  Ruches en production</t>
  </si>
  <si>
    <t xml:space="preserve">  Production totale (kg)</t>
  </si>
  <si>
    <t xml:space="preserve">B — RECETTES</t>
  </si>
  <si>
    <t xml:space="preserve">  Pots vente directe (total)</t>
  </si>
  <si>
    <t xml:space="preserve">  dont pots clients fidèles</t>
  </si>
  <si>
    <t xml:space="preserve">  Clients fidèles (estimés)</t>
  </si>
  <si>
    <t xml:space="preserve">  Recettes directes — nouveaux clients</t>
  </si>
  <si>
    <t xml:space="preserve">  Recettes directes — clients fidèles</t>
  </si>
  <si>
    <t xml:space="preserve">  Recettes retail</t>
  </si>
  <si>
    <t xml:space="preserve">  Recettes grossiste</t>
  </si>
  <si>
    <t xml:space="preserve">TOTAL RECETTES</t>
  </si>
  <si>
    <t xml:space="preserve">C — CHARGES</t>
  </si>
  <si>
    <t xml:space="preserve">  Fournitures (ruches × coût × 12 mois)</t>
  </si>
  <si>
    <t xml:space="preserve">  Dégustations / sampling parties</t>
  </si>
  <si>
    <t xml:space="preserve">  Salaires (si salarié actif dès 2025)</t>
  </si>
  <si>
    <t xml:space="preserve">TOTAL CHARGES</t>
  </si>
  <si>
    <t xml:space="preserve">D — FLUX DE TRÉSORERIE</t>
  </si>
  <si>
    <t xml:space="preserve">FLUX NET</t>
  </si>
  <si>
    <t xml:space="preserve">TRÉSORERIE CUMULÉE</t>
  </si>
  <si>
    <t xml:space="preserve">E — INDICATEURS FIDÉLISATION</t>
  </si>
  <si>
    <t xml:space="preserve">  Prix effectif / pot — client fidèle</t>
  </si>
  <si>
    <t xml:space="preserve">  Économie annuelle / client fidèle</t>
  </si>
  <si>
    <t xml:space="preserve">  Remise fidélité active ?</t>
  </si>
  <si>
    <t xml:space="preserve">Note : les chiffres en rouge sont des valeurs négatives (pertes). Modifier les hypothèses dans la feuille « Hypothèses » (cellules en bleu).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</si>
</sst>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"/>
    <numFmt numFmtId="166" formatCode="0.0%"/>
    <numFmt numFmtId="167" formatCode="#,##0&quot; kg&quot;"/>
    <numFmt numFmtId="168" formatCode="#,##0.00&quot; €&quot;"/>
    <numFmt numFmtId="169" formatCode="0%"/>
    <numFmt numFmtId="170" formatCode="#,##0&quot; €&quot;"/>
    <numFmt numFmtId="171" formatCode="#,##0.0"/>
    <numFmt numFmtId="172" formatCode="#,##0&quot; pots&quot;"/>
    <numFmt numFmtId="173" formatCode="#,##0&quot; clients&quot;"/>
    <numFmt numFmtId="174" formatCode="#,##0&quot; €&quot;;\(#,##0&quot; €)&quot;;\-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0"/>
      <charset val="1"/>
    </font>
    <font>
      <i val="true"/>
      <sz val="9"/>
      <color rgb="FF5F5E5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80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i val="true"/>
      <sz val="9"/>
      <color rgb="FF0080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BA7517"/>
      <name val="Arial"/>
      <family val="0"/>
      <charset val="1"/>
    </font>
    <font>
      <sz val="9"/>
      <color rgb="FF000000"/>
      <name val="Arial"/>
      <family val="0"/>
      <charset val="1"/>
    </font>
    <font>
      <sz val="9"/>
      <color rgb="FF008000"/>
      <name val="Arial"/>
      <family val="0"/>
      <charset val="1"/>
    </font>
    <font>
      <b val="true"/>
      <sz val="9"/>
      <color rgb="FF008000"/>
      <name val="Arial"/>
      <family val="0"/>
      <charset val="1"/>
    </font>
    <font>
      <b val="true"/>
      <sz val="9"/>
      <color rgb="FF3B6D11"/>
      <name val="Arial"/>
      <family val="0"/>
      <charset val="1"/>
    </font>
    <font>
      <b val="true"/>
      <sz val="9"/>
      <color rgb="FF0F6E56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5F5E5A"/>
      <name val="Arial"/>
      <family val="0"/>
      <charset val="1"/>
    </font>
    <font>
      <b val="true"/>
      <sz val="9"/>
      <color rgb="FF5F5E5A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BA7517"/>
        <bgColor rgb="FFFF6600"/>
      </patternFill>
    </fill>
    <fill>
      <patternFill patternType="solid">
        <fgColor rgb="FF5F5E5A"/>
        <bgColor rgb="FF3B6D11"/>
      </patternFill>
    </fill>
    <fill>
      <patternFill patternType="solid">
        <fgColor rgb="FFFFFF00"/>
        <bgColor rgb="FFFFFF00"/>
      </patternFill>
    </fill>
    <fill>
      <patternFill patternType="solid">
        <fgColor rgb="FFFAEEDA"/>
        <bgColor rgb="FFF1EFE8"/>
      </patternFill>
    </fill>
    <fill>
      <patternFill patternType="solid">
        <fgColor rgb="FFEAF3DE"/>
        <bgColor rgb="FFF1EFE8"/>
      </patternFill>
    </fill>
    <fill>
      <patternFill patternType="solid">
        <fgColor rgb="FFE1F5EE"/>
        <bgColor rgb="FFEAF3DE"/>
      </patternFill>
    </fill>
    <fill>
      <patternFill patternType="solid">
        <fgColor rgb="FFF1EFE8"/>
        <bgColor rgb="FFEAF3DE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3D1C7"/>
      </left>
      <right style="thin">
        <color rgb="FFD3D1C7"/>
      </right>
      <top style="thin">
        <color rgb="FFD3D1C7"/>
      </top>
      <bottom style="thin">
        <color rgb="FFD3D1C7"/>
      </bottom>
      <diagonal/>
    </border>
    <border diagonalUp="false" diagonalDown="false">
      <left/>
      <right/>
      <top/>
      <bottom style="thin">
        <color rgb="FFD3D1C7"/>
      </bottom>
      <diagonal/>
    </border>
    <border diagonalUp="false" diagonalDown="false">
      <left style="thin">
        <color rgb="FFD3D1C7"/>
      </left>
      <right/>
      <top style="thin">
        <color rgb="FFD3D1C7"/>
      </top>
      <bottom style="thin">
        <color rgb="FFD3D1C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9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1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1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1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1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13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19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20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0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1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A7517"/>
      <rgbColor rgb="FF800080"/>
      <rgbColor rgb="FF0F6E56"/>
      <rgbColor rgb="FFD3D1C7"/>
      <rgbColor rgb="FF808080"/>
      <rgbColor rgb="FF9999FF"/>
      <rgbColor rgb="FF993366"/>
      <rgbColor rgb="FFFAEEDA"/>
      <rgbColor rgb="FFE1F5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1EFE8"/>
      <rgbColor rgb="FFEAF3D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F5E5A"/>
      <rgbColor rgb="FF969696"/>
      <rgbColor rgb="FF003366"/>
      <rgbColor rgb="FF3B6D11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3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18"/>
    <col collapsed="false" customWidth="true" hidden="false" outlineLevel="0" max="3" min="3" style="0" width="38"/>
  </cols>
  <sheetData>
    <row r="1" customFormat="false" ht="15" hidden="false" customHeight="false" outlineLevel="0" collapsed="false">
      <c r="A1" s="1" t="s">
        <v>0</v>
      </c>
      <c r="B1" s="1"/>
      <c r="C1" s="1"/>
    </row>
    <row r="2" customFormat="false" ht="15" hidden="false" customHeight="false" outlineLevel="0" collapsed="false">
      <c r="A2" s="2" t="s">
        <v>1</v>
      </c>
      <c r="B2" s="2"/>
      <c r="C2" s="2"/>
    </row>
    <row r="4" customFormat="false" ht="15" hidden="false" customHeight="false" outlineLevel="0" collapsed="false">
      <c r="A4" s="3" t="s">
        <v>2</v>
      </c>
      <c r="B4" s="4"/>
      <c r="C4" s="4"/>
    </row>
    <row r="5" customFormat="false" ht="15" hidden="false" customHeight="false" outlineLevel="0" collapsed="false">
      <c r="A5" s="5" t="s">
        <v>3</v>
      </c>
      <c r="B5" s="6" t="n">
        <v>7</v>
      </c>
      <c r="C5" s="7" t="s">
        <v>4</v>
      </c>
    </row>
    <row r="6" customFormat="false" ht="15" hidden="false" customHeight="false" outlineLevel="0" collapsed="false">
      <c r="A6" s="5" t="s">
        <v>5</v>
      </c>
      <c r="B6" s="8" t="n">
        <v>0.5</v>
      </c>
      <c r="C6" s="7" t="s">
        <v>6</v>
      </c>
    </row>
    <row r="7" customFormat="false" ht="15" hidden="false" customHeight="false" outlineLevel="0" collapsed="false">
      <c r="A7" s="5" t="s">
        <v>7</v>
      </c>
      <c r="B7" s="8" t="n">
        <v>0.2</v>
      </c>
      <c r="C7" s="7" t="s">
        <v>8</v>
      </c>
    </row>
    <row r="8" customFormat="false" ht="15" hidden="false" customHeight="false" outlineLevel="0" collapsed="false">
      <c r="A8" s="5" t="s">
        <v>9</v>
      </c>
      <c r="B8" s="8" t="n">
        <v>0.6</v>
      </c>
      <c r="C8" s="7" t="s">
        <v>10</v>
      </c>
    </row>
    <row r="9" customFormat="false" ht="15" hidden="false" customHeight="false" outlineLevel="0" collapsed="false">
      <c r="A9" s="5" t="s">
        <v>11</v>
      </c>
      <c r="B9" s="9" t="n">
        <v>15</v>
      </c>
      <c r="C9" s="7" t="s">
        <v>12</v>
      </c>
    </row>
    <row r="11" customFormat="false" ht="15" hidden="false" customHeight="false" outlineLevel="0" collapsed="false">
      <c r="A11" s="3" t="s">
        <v>13</v>
      </c>
      <c r="B11" s="4"/>
      <c r="C11" s="4"/>
    </row>
    <row r="12" customFormat="false" ht="15" hidden="false" customHeight="false" outlineLevel="0" collapsed="false">
      <c r="A12" s="5" t="s">
        <v>14</v>
      </c>
      <c r="B12" s="10" t="n">
        <v>13</v>
      </c>
      <c r="C12" s="7" t="s">
        <v>15</v>
      </c>
    </row>
    <row r="13" customFormat="false" ht="15" hidden="false" customHeight="false" outlineLevel="0" collapsed="false">
      <c r="A13" s="5" t="s">
        <v>16</v>
      </c>
      <c r="B13" s="11" t="n">
        <v>7.8</v>
      </c>
      <c r="C13" s="7" t="s">
        <v>17</v>
      </c>
    </row>
    <row r="14" customFormat="false" ht="15" hidden="false" customHeight="false" outlineLevel="0" collapsed="false">
      <c r="A14" s="5" t="s">
        <v>18</v>
      </c>
      <c r="B14" s="11" t="n">
        <v>4.5</v>
      </c>
      <c r="C14" s="7" t="s">
        <v>19</v>
      </c>
    </row>
    <row r="16" customFormat="false" ht="15" hidden="false" customHeight="false" outlineLevel="0" collapsed="false">
      <c r="A16" s="3" t="s">
        <v>20</v>
      </c>
      <c r="B16" s="4"/>
      <c r="C16" s="4"/>
    </row>
    <row r="17" customFormat="false" ht="15" hidden="false" customHeight="false" outlineLevel="0" collapsed="false">
      <c r="A17" s="5" t="s">
        <v>21</v>
      </c>
      <c r="B17" s="12" t="n">
        <v>0.7</v>
      </c>
      <c r="C17" s="7" t="s">
        <v>22</v>
      </c>
    </row>
    <row r="18" customFormat="false" ht="15" hidden="false" customHeight="false" outlineLevel="0" collapsed="false">
      <c r="A18" s="5" t="s">
        <v>23</v>
      </c>
      <c r="B18" s="13" t="n">
        <v>0.2</v>
      </c>
    </row>
    <row r="19" customFormat="false" ht="15" hidden="false" customHeight="false" outlineLevel="0" collapsed="false">
      <c r="A19" s="5" t="s">
        <v>24</v>
      </c>
      <c r="B19" s="13" t="n">
        <v>0.1</v>
      </c>
    </row>
    <row r="20" customFormat="false" ht="15" hidden="false" customHeight="false" outlineLevel="0" collapsed="false">
      <c r="A20" s="14" t="s">
        <v>25</v>
      </c>
      <c r="B20" s="15" t="n">
        <f aca="false">B17+B18+B19</f>
        <v>1</v>
      </c>
      <c r="C20" s="14" t="s">
        <v>26</v>
      </c>
    </row>
    <row r="22" customFormat="false" ht="15" hidden="false" customHeight="false" outlineLevel="0" collapsed="false">
      <c r="A22" s="3" t="s">
        <v>27</v>
      </c>
      <c r="B22" s="4"/>
      <c r="C22" s="4"/>
    </row>
    <row r="23" customFormat="false" ht="15" hidden="false" customHeight="false" outlineLevel="0" collapsed="false">
      <c r="A23" s="5" t="s">
        <v>28</v>
      </c>
      <c r="B23" s="12" t="n">
        <v>0.4</v>
      </c>
      <c r="C23" s="7" t="s">
        <v>29</v>
      </c>
    </row>
    <row r="24" customFormat="false" ht="15" hidden="false" customHeight="false" outlineLevel="0" collapsed="false">
      <c r="A24" s="5" t="s">
        <v>30</v>
      </c>
      <c r="B24" s="6" t="n">
        <v>4</v>
      </c>
      <c r="C24" s="7" t="s">
        <v>31</v>
      </c>
    </row>
    <row r="25" customFormat="false" ht="15" hidden="false" customHeight="false" outlineLevel="0" collapsed="false">
      <c r="A25" s="5" t="s">
        <v>32</v>
      </c>
      <c r="B25" s="6" t="n">
        <v>3</v>
      </c>
      <c r="C25" s="7" t="s">
        <v>33</v>
      </c>
    </row>
    <row r="26" customFormat="false" ht="15" hidden="false" customHeight="false" outlineLevel="0" collapsed="false">
      <c r="A26" s="5" t="s">
        <v>34</v>
      </c>
      <c r="B26" s="13" t="n">
        <v>0.1</v>
      </c>
      <c r="C26" s="7" t="s">
        <v>35</v>
      </c>
    </row>
    <row r="27" customFormat="false" ht="15" hidden="false" customHeight="false" outlineLevel="0" collapsed="false">
      <c r="A27" s="16" t="s">
        <v>36</v>
      </c>
      <c r="B27" s="17" t="n">
        <f aca="false">IF(B24&gt;=B25, B12*(1-B26), B12)</f>
        <v>11.7</v>
      </c>
      <c r="C27" s="18" t="str">
        <f aca="false">IF(B24&gt;=B25,"Remise ACTIVE","Pas de remise — achat &lt; seuil")</f>
        <v>Remise ACTIVE</v>
      </c>
    </row>
    <row r="29" customFormat="false" ht="15" hidden="false" customHeight="false" outlineLevel="0" collapsed="false">
      <c r="A29" s="3" t="s">
        <v>37</v>
      </c>
      <c r="B29" s="4"/>
      <c r="C29" s="4"/>
    </row>
    <row r="30" customFormat="false" ht="15" hidden="false" customHeight="false" outlineLevel="0" collapsed="false">
      <c r="A30" s="5" t="s">
        <v>38</v>
      </c>
      <c r="B30" s="19" t="n">
        <v>34</v>
      </c>
      <c r="C30" s="7" t="s">
        <v>39</v>
      </c>
    </row>
    <row r="31" customFormat="false" ht="15" hidden="false" customHeight="false" outlineLevel="0" collapsed="false">
      <c r="A31" s="5" t="s">
        <v>40</v>
      </c>
      <c r="B31" s="20" t="n">
        <v>12</v>
      </c>
      <c r="C31" s="7" t="s">
        <v>41</v>
      </c>
    </row>
    <row r="32" customFormat="false" ht="15" hidden="false" customHeight="false" outlineLevel="0" collapsed="false">
      <c r="A32" s="5" t="s">
        <v>42</v>
      </c>
      <c r="B32" s="19" t="n">
        <v>50</v>
      </c>
      <c r="C32" s="7" t="s">
        <v>43</v>
      </c>
    </row>
    <row r="33" customFormat="false" ht="15" hidden="false" customHeight="false" outlineLevel="0" collapsed="false">
      <c r="A33" s="5" t="s">
        <v>44</v>
      </c>
      <c r="B33" s="19" t="n">
        <v>1865</v>
      </c>
      <c r="C33" s="7" t="s">
        <v>45</v>
      </c>
    </row>
    <row r="34" customFormat="false" ht="15" hidden="false" customHeight="false" outlineLevel="0" collapsed="false">
      <c r="A34" s="5" t="s">
        <v>46</v>
      </c>
      <c r="B34" s="20" t="n">
        <v>0</v>
      </c>
      <c r="C34" s="7" t="s">
        <v>47</v>
      </c>
    </row>
    <row r="36" customFormat="false" ht="15" hidden="false" customHeight="false" outlineLevel="0" collapsed="false">
      <c r="A36" s="21" t="s">
        <v>48</v>
      </c>
      <c r="B36" s="21"/>
      <c r="C36" s="21"/>
    </row>
  </sheetData>
  <mergeCells count="3">
    <mergeCell ref="A1:C1"/>
    <mergeCell ref="A2:C2"/>
    <mergeCell ref="A36:C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3" min="2" style="0" width="12"/>
    <col collapsed="false" customWidth="true" hidden="false" outlineLevel="0" max="11" min="4" style="0" width="14"/>
  </cols>
  <sheetData>
    <row r="1" customFormat="false" ht="15" hidden="false" customHeight="false" outlineLevel="0" collapsed="false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21" t="s">
        <v>50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4" customFormat="false" ht="27.75" hidden="false" customHeight="true" outlineLevel="0" collapsed="false">
      <c r="A4" s="22"/>
      <c r="B4" s="22" t="s">
        <v>51</v>
      </c>
      <c r="C4" s="22" t="s">
        <v>52</v>
      </c>
      <c r="D4" s="22" t="s">
        <v>53</v>
      </c>
      <c r="E4" s="22" t="s">
        <v>54</v>
      </c>
      <c r="F4" s="22" t="s">
        <v>55</v>
      </c>
      <c r="G4" s="22" t="s">
        <v>56</v>
      </c>
      <c r="H4" s="22" t="s">
        <v>57</v>
      </c>
      <c r="I4" s="22"/>
      <c r="J4" s="22" t="s">
        <v>58</v>
      </c>
      <c r="K4" s="22" t="s">
        <v>59</v>
      </c>
    </row>
    <row r="5" customFormat="false" ht="15" hidden="false" customHeight="false" outlineLevel="0" collapsed="false">
      <c r="A5" s="23" t="s">
        <v>60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customFormat="false" ht="15" hidden="false" customHeight="false" outlineLevel="0" collapsed="false">
      <c r="A6" s="24" t="s">
        <v>61</v>
      </c>
      <c r="B6" s="25" t="n">
        <f aca="false">Hypothèses!B5</f>
        <v>7</v>
      </c>
      <c r="C6" s="25" t="n">
        <f aca="false">B6*(1+Hypothèses!B6-Hypothèses!B7)</f>
        <v>9.1</v>
      </c>
      <c r="D6" s="25" t="n">
        <f aca="false">C6*(1+Hypothèses!B6-Hypothèses!B7)</f>
        <v>11.83</v>
      </c>
      <c r="E6" s="25" t="n">
        <f aca="false">D6*(1+Hypothèses!B6-Hypothèses!B7)</f>
        <v>15.379</v>
      </c>
      <c r="F6" s="25" t="n">
        <f aca="false">E6*(1+Hypothèses!B6-Hypothèses!B7)</f>
        <v>19.9927</v>
      </c>
      <c r="G6" s="25" t="n">
        <f aca="false">F6*(1+Hypothèses!B6-Hypothèses!B7)</f>
        <v>25.99051</v>
      </c>
      <c r="H6" s="25" t="n">
        <f aca="false">G6*(1+Hypothèses!B6-Hypothèses!B7)</f>
        <v>33.787663</v>
      </c>
      <c r="J6" s="26"/>
      <c r="K6" s="26"/>
    </row>
    <row r="7" customFormat="false" ht="15" hidden="false" customHeight="false" outlineLevel="0" collapsed="false">
      <c r="A7" s="24" t="s">
        <v>62</v>
      </c>
      <c r="B7" s="25" t="n">
        <f aca="false">B6*Hypothèses!B8</f>
        <v>4.2</v>
      </c>
      <c r="C7" s="25" t="n">
        <f aca="false">C6*Hypothèses!B8</f>
        <v>5.46</v>
      </c>
      <c r="D7" s="25" t="n">
        <f aca="false">D6*Hypothèses!B8</f>
        <v>7.098</v>
      </c>
      <c r="E7" s="25" t="n">
        <f aca="false">E6*Hypothèses!B8</f>
        <v>9.2274</v>
      </c>
      <c r="F7" s="25" t="n">
        <f aca="false">F6*Hypothèses!B8</f>
        <v>11.99562</v>
      </c>
      <c r="G7" s="25" t="n">
        <f aca="false">G6*Hypothèses!B8</f>
        <v>15.594306</v>
      </c>
      <c r="H7" s="25" t="n">
        <f aca="false">H6*Hypothèses!B8</f>
        <v>20.2725978</v>
      </c>
      <c r="J7" s="26"/>
      <c r="K7" s="26"/>
    </row>
    <row r="8" customFormat="false" ht="15" hidden="false" customHeight="false" outlineLevel="0" collapsed="false">
      <c r="A8" s="24" t="s">
        <v>63</v>
      </c>
      <c r="B8" s="27" t="n">
        <f aca="false">B7*Hypothèses!B9*4/12</f>
        <v>21</v>
      </c>
      <c r="C8" s="27" t="n">
        <f aca="false">C7*Hypothèses!B9*1</f>
        <v>81.9</v>
      </c>
      <c r="D8" s="27" t="n">
        <f aca="false">D7*Hypothèses!B9*1</f>
        <v>106.47</v>
      </c>
      <c r="E8" s="27" t="n">
        <f aca="false">E7*Hypothèses!B9*1</f>
        <v>138.411</v>
      </c>
      <c r="F8" s="27" t="n">
        <f aca="false">F7*Hypothèses!B9*1</f>
        <v>179.9343</v>
      </c>
      <c r="G8" s="27" t="n">
        <f aca="false">G7*Hypothèses!B9*1</f>
        <v>233.91459</v>
      </c>
      <c r="H8" s="27" t="n">
        <f aca="false">H7*Hypothèses!B9*1</f>
        <v>304.088967</v>
      </c>
      <c r="J8" s="28" t="n">
        <f aca="false">SUM(B8:H8)</f>
        <v>1065.718857</v>
      </c>
      <c r="K8" s="26"/>
    </row>
    <row r="10" customFormat="false" ht="15" hidden="false" customHeight="false" outlineLevel="0" collapsed="false">
      <c r="A10" s="29" t="s">
        <v>64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customFormat="false" ht="15" hidden="false" customHeight="false" outlineLevel="0" collapsed="false">
      <c r="A11" s="24" t="s">
        <v>65</v>
      </c>
      <c r="B11" s="30" t="n">
        <f aca="false">B8*2*Hypothèses!B17</f>
        <v>29.4</v>
      </c>
      <c r="C11" s="30" t="n">
        <f aca="false">C8*2*Hypothèses!B17</f>
        <v>114.66</v>
      </c>
      <c r="D11" s="30" t="n">
        <f aca="false">D8*2*Hypothèses!B17</f>
        <v>149.058</v>
      </c>
      <c r="E11" s="30" t="n">
        <f aca="false">E8*2*Hypothèses!B17</f>
        <v>193.7754</v>
      </c>
      <c r="F11" s="30" t="n">
        <f aca="false">F8*2*Hypothèses!B17</f>
        <v>251.90802</v>
      </c>
      <c r="G11" s="30" t="n">
        <f aca="false">G8*2*Hypothèses!B17</f>
        <v>327.480426</v>
      </c>
      <c r="H11" s="30" t="n">
        <f aca="false">H8*2*Hypothèses!B17</f>
        <v>425.7245538</v>
      </c>
      <c r="J11" s="31" t="n">
        <f aca="false">SUM(B11:H11)</f>
        <v>1492.0063998</v>
      </c>
      <c r="K11" s="26"/>
    </row>
    <row r="12" customFormat="false" ht="15" hidden="false" customHeight="false" outlineLevel="0" collapsed="false">
      <c r="A12" s="24" t="s">
        <v>66</v>
      </c>
      <c r="B12" s="30" t="n">
        <f aca="false">B11*Hypothèses!B23</f>
        <v>11.76</v>
      </c>
      <c r="C12" s="30" t="n">
        <f aca="false">C11*Hypothèses!B23</f>
        <v>45.864</v>
      </c>
      <c r="D12" s="30" t="n">
        <f aca="false">D11*Hypothèses!B23</f>
        <v>59.6232</v>
      </c>
      <c r="E12" s="30" t="n">
        <f aca="false">E11*Hypothèses!B23</f>
        <v>77.51016</v>
      </c>
      <c r="F12" s="30" t="n">
        <f aca="false">F11*Hypothèses!B23</f>
        <v>100.763208</v>
      </c>
      <c r="G12" s="30" t="n">
        <f aca="false">G11*Hypothèses!B23</f>
        <v>130.9921704</v>
      </c>
      <c r="H12" s="30" t="n">
        <f aca="false">H11*Hypothèses!B23</f>
        <v>170.28982152</v>
      </c>
      <c r="J12" s="31" t="n">
        <f aca="false">SUM(B12:H12)</f>
        <v>596.80255992</v>
      </c>
      <c r="K12" s="26"/>
    </row>
    <row r="13" customFormat="false" ht="15" hidden="false" customHeight="false" outlineLevel="0" collapsed="false">
      <c r="A13" s="24" t="s">
        <v>67</v>
      </c>
      <c r="B13" s="32" t="n">
        <f aca="false">IFERROR(ROUND(B12/Hypothèses!B24,0),0)</f>
        <v>3</v>
      </c>
      <c r="C13" s="32" t="n">
        <f aca="false">IFERROR(ROUND(C12/Hypothèses!B24,0),0)</f>
        <v>11</v>
      </c>
      <c r="D13" s="32" t="n">
        <f aca="false">IFERROR(ROUND(D12/Hypothèses!B24,0),0)</f>
        <v>15</v>
      </c>
      <c r="E13" s="32" t="n">
        <f aca="false">IFERROR(ROUND(E12/Hypothèses!B24,0),0)</f>
        <v>19</v>
      </c>
      <c r="F13" s="32" t="n">
        <f aca="false">IFERROR(ROUND(F12/Hypothèses!B24,0),0)</f>
        <v>25</v>
      </c>
      <c r="G13" s="32" t="n">
        <f aca="false">IFERROR(ROUND(G12/Hypothèses!B24,0),0)</f>
        <v>33</v>
      </c>
      <c r="H13" s="32" t="n">
        <f aca="false">IFERROR(ROUND(H12/Hypothèses!B24,0),0)</f>
        <v>43</v>
      </c>
      <c r="J13" s="26"/>
      <c r="K13" s="26"/>
    </row>
    <row r="14" customFormat="false" ht="15" hidden="false" customHeight="false" outlineLevel="0" collapsed="false">
      <c r="A14" s="24" t="s">
        <v>68</v>
      </c>
      <c r="B14" s="33" t="n">
        <f aca="false">(B11-B12)*Hypothèses!B12</f>
        <v>229.32</v>
      </c>
      <c r="C14" s="33" t="n">
        <f aca="false">(C11-C12)*Hypothèses!B12</f>
        <v>894.348</v>
      </c>
      <c r="D14" s="33" t="n">
        <f aca="false">(D11-D12)*Hypothèses!B12</f>
        <v>1162.6524</v>
      </c>
      <c r="E14" s="33" t="n">
        <f aca="false">(E11-E12)*Hypothèses!B12</f>
        <v>1511.44812</v>
      </c>
      <c r="F14" s="33" t="n">
        <f aca="false">(F11-F12)*Hypothèses!B12</f>
        <v>1964.882556</v>
      </c>
      <c r="G14" s="33" t="n">
        <f aca="false">(G11-G12)*Hypothèses!B12</f>
        <v>2554.3473228</v>
      </c>
      <c r="H14" s="33" t="n">
        <f aca="false">(H11-H12)*Hypothèses!B12</f>
        <v>3320.65151964</v>
      </c>
      <c r="J14" s="34" t="n">
        <f aca="false">SUM(B14:H14)</f>
        <v>11637.64991844</v>
      </c>
      <c r="K14" s="26"/>
    </row>
    <row r="15" customFormat="false" ht="15" hidden="false" customHeight="false" outlineLevel="0" collapsed="false">
      <c r="A15" s="24" t="s">
        <v>69</v>
      </c>
      <c r="B15" s="33" t="n">
        <f aca="false">B12*IF(Hypothèses!B24&gt;=Hypothèses!B25,Hypothèses!B12*(1-Hypothèses!B26),Hypothèses!B12)</f>
        <v>137.592</v>
      </c>
      <c r="C15" s="33" t="n">
        <f aca="false">C12*IF(Hypothèses!B24&gt;=Hypothèses!B25,Hypothèses!B12*(1-Hypothèses!B26),Hypothèses!B12)</f>
        <v>536.6088</v>
      </c>
      <c r="D15" s="33" t="n">
        <f aca="false">D12*IF(Hypothèses!B24&gt;=Hypothèses!B25,Hypothèses!B12*(1-Hypothèses!B26),Hypothèses!B12)</f>
        <v>697.59144</v>
      </c>
      <c r="E15" s="33" t="n">
        <f aca="false">E12*IF(Hypothèses!B24&gt;=Hypothèses!B25,Hypothèses!B12*(1-Hypothèses!B26),Hypothèses!B12)</f>
        <v>906.868872</v>
      </c>
      <c r="F15" s="33" t="n">
        <f aca="false">F12*IF(Hypothèses!B24&gt;=Hypothèses!B25,Hypothèses!B12*(1-Hypothèses!B26),Hypothèses!B12)</f>
        <v>1178.9295336</v>
      </c>
      <c r="G15" s="33" t="n">
        <f aca="false">G12*IF(Hypothèses!B24&gt;=Hypothèses!B25,Hypothèses!B12*(1-Hypothèses!B26),Hypothèses!B12)</f>
        <v>1532.60839368</v>
      </c>
      <c r="H15" s="33" t="n">
        <f aca="false">H12*IF(Hypothèses!B24&gt;=Hypothèses!B25,Hypothèses!B12*(1-Hypothèses!B26),Hypothèses!B12)</f>
        <v>1992.390911784</v>
      </c>
      <c r="J15" s="34" t="n">
        <f aca="false">SUM(B15:H15)</f>
        <v>6982.589951064</v>
      </c>
      <c r="K15" s="26"/>
    </row>
    <row r="16" customFormat="false" ht="15" hidden="false" customHeight="false" outlineLevel="0" collapsed="false">
      <c r="A16" s="24" t="s">
        <v>70</v>
      </c>
      <c r="B16" s="33" t="n">
        <f aca="false">B8*2*Hypothèses!B18*Hypothèses!B13</f>
        <v>65.52</v>
      </c>
      <c r="C16" s="33" t="n">
        <f aca="false">C8*2*Hypothèses!B18*Hypothèses!B13</f>
        <v>255.528</v>
      </c>
      <c r="D16" s="33" t="n">
        <f aca="false">D8*2*Hypothèses!B18*Hypothèses!B13</f>
        <v>332.1864</v>
      </c>
      <c r="E16" s="33" t="n">
        <f aca="false">E8*2*Hypothèses!B18*Hypothèses!B13</f>
        <v>431.84232</v>
      </c>
      <c r="F16" s="33" t="n">
        <f aca="false">F8*2*Hypothèses!B18*Hypothèses!B13</f>
        <v>561.395016</v>
      </c>
      <c r="G16" s="33" t="n">
        <f aca="false">G8*2*Hypothèses!B18*Hypothèses!B13</f>
        <v>729.8135208</v>
      </c>
      <c r="H16" s="33" t="n">
        <f aca="false">H8*2*Hypothèses!B18*Hypothèses!B13</f>
        <v>948.75757704</v>
      </c>
      <c r="J16" s="34" t="n">
        <f aca="false">SUM(B16:H16)</f>
        <v>3325.04283384</v>
      </c>
      <c r="K16" s="26"/>
    </row>
    <row r="17" customFormat="false" ht="15" hidden="false" customHeight="false" outlineLevel="0" collapsed="false">
      <c r="A17" s="24" t="s">
        <v>71</v>
      </c>
      <c r="B17" s="33" t="n">
        <f aca="false">B8*Hypothèses!B19*Hypothèses!B14</f>
        <v>9.45</v>
      </c>
      <c r="C17" s="33" t="n">
        <f aca="false">C8*Hypothèses!B19*Hypothèses!B14</f>
        <v>36.855</v>
      </c>
      <c r="D17" s="33" t="n">
        <f aca="false">D8*Hypothèses!B19*Hypothèses!B14</f>
        <v>47.9115</v>
      </c>
      <c r="E17" s="33" t="n">
        <f aca="false">E8*Hypothèses!B19*Hypothèses!B14</f>
        <v>62.28495</v>
      </c>
      <c r="F17" s="33" t="n">
        <f aca="false">F8*Hypothèses!B19*Hypothèses!B14</f>
        <v>80.970435</v>
      </c>
      <c r="G17" s="33" t="n">
        <f aca="false">G8*Hypothèses!B19*Hypothèses!B14</f>
        <v>105.2615655</v>
      </c>
      <c r="H17" s="33" t="n">
        <f aca="false">H8*Hypothèses!B19*Hypothèses!B14</f>
        <v>136.84003515</v>
      </c>
      <c r="J17" s="34" t="n">
        <f aca="false">SUM(B17:H17)</f>
        <v>479.57348565</v>
      </c>
      <c r="K17" s="26"/>
    </row>
    <row r="18" customFormat="false" ht="15" hidden="false" customHeight="false" outlineLevel="0" collapsed="false">
      <c r="A18" s="35" t="s">
        <v>72</v>
      </c>
      <c r="B18" s="36" t="n">
        <f aca="false">B14+B15+B16+B17</f>
        <v>441.882</v>
      </c>
      <c r="C18" s="36" t="n">
        <f aca="false">C14+C15+C16+C17</f>
        <v>1723.3398</v>
      </c>
      <c r="D18" s="36" t="n">
        <f aca="false">D14+D15+D16+D17</f>
        <v>2240.34174</v>
      </c>
      <c r="E18" s="36" t="n">
        <f aca="false">E14+E15+E16+E17</f>
        <v>2912.444262</v>
      </c>
      <c r="F18" s="36" t="n">
        <f aca="false">F14+F15+F16+F17</f>
        <v>3786.1775406</v>
      </c>
      <c r="G18" s="36" t="n">
        <f aca="false">G14+G15+G16+G17</f>
        <v>4922.03080278</v>
      </c>
      <c r="H18" s="36" t="n">
        <f aca="false">H14+H15+H16+H17</f>
        <v>6398.640043614</v>
      </c>
      <c r="J18" s="37" t="n">
        <f aca="false">SUM(B18:H18)</f>
        <v>22424.856188994</v>
      </c>
      <c r="K18" s="38" t="n">
        <f aca="false">IFERROR((H18/B18)^(1/6)-1,"n/a")</f>
        <v>0.561218041728804</v>
      </c>
    </row>
    <row r="20" customFormat="false" ht="15" hidden="false" customHeight="false" outlineLevel="0" collapsed="false">
      <c r="A20" s="39" t="s">
        <v>73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customFormat="false" ht="15" hidden="false" customHeight="false" outlineLevel="0" collapsed="false">
      <c r="A21" s="24" t="s">
        <v>74</v>
      </c>
      <c r="B21" s="40" t="n">
        <f aca="false">B6*Hypothèses!B30*12*4/12</f>
        <v>952</v>
      </c>
      <c r="C21" s="40" t="n">
        <f aca="false">C6*Hypothèses!B30*12*1</f>
        <v>3712.8</v>
      </c>
      <c r="D21" s="40" t="n">
        <f aca="false">D6*Hypothèses!B30*12*1</f>
        <v>4826.64</v>
      </c>
      <c r="E21" s="40" t="n">
        <f aca="false">E6*Hypothèses!B30*12*1</f>
        <v>6274.632</v>
      </c>
      <c r="F21" s="40" t="n">
        <f aca="false">F6*Hypothèses!B30*12*1</f>
        <v>8157.0216</v>
      </c>
      <c r="G21" s="40" t="n">
        <f aca="false">G6*Hypothèses!B30*12*1</f>
        <v>10604.12808</v>
      </c>
      <c r="H21" s="40" t="n">
        <f aca="false">H6*Hypothèses!B30*12*1</f>
        <v>13785.366504</v>
      </c>
      <c r="J21" s="41" t="n">
        <f aca="false">SUM(B21:H21)</f>
        <v>48312.588184</v>
      </c>
      <c r="K21" s="26"/>
    </row>
    <row r="22" customFormat="false" ht="15" hidden="false" customHeight="false" outlineLevel="0" collapsed="false">
      <c r="A22" s="24" t="s">
        <v>75</v>
      </c>
      <c r="B22" s="40" t="n">
        <f aca="false">Hypothèses!B31*Hypothèses!B32*4/12</f>
        <v>200</v>
      </c>
      <c r="C22" s="40" t="n">
        <f aca="false">Hypothèses!B31*Hypothèses!B32*1</f>
        <v>600</v>
      </c>
      <c r="D22" s="40" t="n">
        <f aca="false">Hypothèses!B31*Hypothèses!B32*1</f>
        <v>600</v>
      </c>
      <c r="E22" s="40" t="n">
        <f aca="false">Hypothèses!B31*Hypothèses!B32*1</f>
        <v>600</v>
      </c>
      <c r="F22" s="40" t="n">
        <f aca="false">Hypothèses!B31*Hypothèses!B32*1</f>
        <v>600</v>
      </c>
      <c r="G22" s="40" t="n">
        <f aca="false">Hypothèses!B31*Hypothèses!B32*1</f>
        <v>600</v>
      </c>
      <c r="H22" s="40" t="n">
        <f aca="false">Hypothèses!B31*Hypothèses!B32*1</f>
        <v>600</v>
      </c>
      <c r="J22" s="41" t="n">
        <f aca="false">SUM(B22:H22)</f>
        <v>3800</v>
      </c>
      <c r="K22" s="26"/>
    </row>
    <row r="23" customFormat="false" ht="15" hidden="false" customHeight="false" outlineLevel="0" collapsed="false">
      <c r="A23" s="24" t="s">
        <v>76</v>
      </c>
      <c r="B23" s="42" t="n">
        <v>0</v>
      </c>
      <c r="C23" s="42" t="n">
        <v>0</v>
      </c>
      <c r="D23" s="40" t="n">
        <f aca="false">IF(Hypothèses!B34=1,Hypothèses!B33*12*1,0)</f>
        <v>0</v>
      </c>
      <c r="E23" s="40" t="n">
        <f aca="false">IF(Hypothèses!B34=1,Hypothèses!B33*12*1,0)</f>
        <v>0</v>
      </c>
      <c r="F23" s="40" t="n">
        <f aca="false">IF(Hypothèses!B34=1,Hypothèses!B33*12*1,0)</f>
        <v>0</v>
      </c>
      <c r="G23" s="40" t="n">
        <f aca="false">IF(Hypothèses!B34=1,Hypothèses!B33*12*1,0)</f>
        <v>0</v>
      </c>
      <c r="H23" s="40" t="n">
        <f aca="false">IF(Hypothèses!B34=1,Hypothèses!B33*12*1,0)</f>
        <v>0</v>
      </c>
      <c r="J23" s="41" t="n">
        <f aca="false">SUM(B23:H23)</f>
        <v>0</v>
      </c>
      <c r="K23" s="26"/>
    </row>
    <row r="24" customFormat="false" ht="15" hidden="false" customHeight="false" outlineLevel="0" collapsed="false">
      <c r="A24" s="43" t="s">
        <v>77</v>
      </c>
      <c r="B24" s="44" t="n">
        <f aca="false">B21+B22+B23</f>
        <v>1152</v>
      </c>
      <c r="C24" s="44" t="n">
        <f aca="false">C21+C22+C23</f>
        <v>4312.8</v>
      </c>
      <c r="D24" s="44" t="n">
        <f aca="false">D21+D22+D23</f>
        <v>5426.64</v>
      </c>
      <c r="E24" s="44" t="n">
        <f aca="false">E21+E22+E23</f>
        <v>6874.632</v>
      </c>
      <c r="F24" s="44" t="n">
        <f aca="false">F21+F22+F23</f>
        <v>8757.0216</v>
      </c>
      <c r="G24" s="44" t="n">
        <f aca="false">G21+G22+G23</f>
        <v>11204.12808</v>
      </c>
      <c r="H24" s="44" t="n">
        <f aca="false">H21+H22+H23</f>
        <v>14385.366504</v>
      </c>
      <c r="J24" s="45" t="n">
        <f aca="false">SUM(B24:H24)</f>
        <v>52112.588184</v>
      </c>
      <c r="K24" s="46"/>
    </row>
    <row r="26" customFormat="false" ht="15" hidden="false" customHeight="false" outlineLevel="0" collapsed="false">
      <c r="A26" s="23" t="s">
        <v>78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customFormat="false" ht="15" hidden="false" customHeight="false" outlineLevel="0" collapsed="false">
      <c r="A27" s="47" t="s">
        <v>79</v>
      </c>
      <c r="B27" s="48" t="n">
        <f aca="false">B18-B24</f>
        <v>-710.118</v>
      </c>
      <c r="C27" s="48" t="n">
        <f aca="false">C18-C24</f>
        <v>-2589.4602</v>
      </c>
      <c r="D27" s="48" t="n">
        <f aca="false">D18-D24</f>
        <v>-3186.29826</v>
      </c>
      <c r="E27" s="48" t="n">
        <f aca="false">E18-E24</f>
        <v>-3962.187738</v>
      </c>
      <c r="F27" s="48" t="n">
        <f aca="false">F18-F24</f>
        <v>-4970.8440594</v>
      </c>
      <c r="G27" s="48" t="n">
        <f aca="false">G18-G24</f>
        <v>-6282.09727722</v>
      </c>
      <c r="H27" s="48" t="n">
        <f aca="false">H18-H24</f>
        <v>-7986.726460386</v>
      </c>
      <c r="J27" s="48" t="n">
        <f aca="false">SUM(B27:H27)</f>
        <v>-29687.731995006</v>
      </c>
      <c r="K27" s="46"/>
    </row>
    <row r="28" customFormat="false" ht="15" hidden="false" customHeight="false" outlineLevel="0" collapsed="false">
      <c r="A28" s="47" t="s">
        <v>80</v>
      </c>
      <c r="B28" s="48" t="n">
        <f aca="false">B27</f>
        <v>-710.118</v>
      </c>
      <c r="C28" s="48" t="n">
        <f aca="false">B28+C27</f>
        <v>-3299.5782</v>
      </c>
      <c r="D28" s="48" t="n">
        <f aca="false">C28+D27</f>
        <v>-6485.87646</v>
      </c>
      <c r="E28" s="48" t="n">
        <f aca="false">D28+E27</f>
        <v>-10448.064198</v>
      </c>
      <c r="F28" s="48" t="n">
        <f aca="false">E28+F27</f>
        <v>-15418.9082574</v>
      </c>
      <c r="G28" s="48" t="n">
        <f aca="false">F28+G27</f>
        <v>-21701.00553462</v>
      </c>
      <c r="H28" s="48" t="n">
        <f aca="false">G28+H27</f>
        <v>-29687.731995006</v>
      </c>
      <c r="J28" s="48" t="n">
        <f aca="false">H28</f>
        <v>-29687.731995006</v>
      </c>
      <c r="K28" s="46"/>
    </row>
    <row r="30" customFormat="false" ht="15" hidden="false" customHeight="false" outlineLevel="0" collapsed="false">
      <c r="A30" s="29" t="s">
        <v>81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31" customFormat="false" ht="15" hidden="false" customHeight="false" outlineLevel="0" collapsed="false">
      <c r="A31" s="24" t="s">
        <v>82</v>
      </c>
      <c r="B31" s="49" t="n">
        <f aca="false">IF(Hypothèses!B24&gt;=Hypothèses!B25,Hypothèses!B12*(1-Hypothèses!B26),Hypothèses!B12)</f>
        <v>11.7</v>
      </c>
      <c r="C31" s="49" t="n">
        <f aca="false">IF(Hypothèses!B24&gt;=Hypothèses!B25,Hypothèses!B12*(1-Hypothèses!B26),Hypothèses!B12)</f>
        <v>11.7</v>
      </c>
      <c r="D31" s="49" t="n">
        <f aca="false">IF(Hypothèses!B24&gt;=Hypothèses!B25,Hypothèses!B12*(1-Hypothèses!B26),Hypothèses!B12)</f>
        <v>11.7</v>
      </c>
      <c r="E31" s="49" t="n">
        <f aca="false">IF(Hypothèses!B24&gt;=Hypothèses!B25,Hypothèses!B12*(1-Hypothèses!B26),Hypothèses!B12)</f>
        <v>11.7</v>
      </c>
      <c r="F31" s="49" t="n">
        <f aca="false">IF(Hypothèses!B24&gt;=Hypothèses!B25,Hypothèses!B12*(1-Hypothèses!B26),Hypothèses!B12)</f>
        <v>11.7</v>
      </c>
      <c r="G31" s="49" t="n">
        <f aca="false">IF(Hypothèses!B24&gt;=Hypothèses!B25,Hypothèses!B12*(1-Hypothèses!B26),Hypothèses!B12)</f>
        <v>11.7</v>
      </c>
      <c r="H31" s="49" t="n">
        <f aca="false">IF(Hypothèses!B24&gt;=Hypothèses!B25,Hypothèses!B12*(1-Hypothèses!B26),Hypothèses!B12)</f>
        <v>11.7</v>
      </c>
      <c r="J31" s="26"/>
      <c r="K31" s="26"/>
    </row>
    <row r="32" customFormat="false" ht="15" hidden="false" customHeight="false" outlineLevel="0" collapsed="false">
      <c r="A32" s="24" t="s">
        <v>83</v>
      </c>
      <c r="B32" s="49" t="n">
        <f aca="false">(Hypothèses!B12-B31)*Hypothèses!B24</f>
        <v>5.2</v>
      </c>
      <c r="C32" s="49" t="n">
        <f aca="false">(Hypothèses!B12-C31)*Hypothèses!B24</f>
        <v>5.2</v>
      </c>
      <c r="D32" s="49" t="n">
        <f aca="false">(Hypothèses!B12-D31)*Hypothèses!B24</f>
        <v>5.2</v>
      </c>
      <c r="E32" s="49" t="n">
        <f aca="false">(Hypothèses!B12-E31)*Hypothèses!B24</f>
        <v>5.2</v>
      </c>
      <c r="F32" s="49" t="n">
        <f aca="false">(Hypothèses!B12-F31)*Hypothèses!B24</f>
        <v>5.2</v>
      </c>
      <c r="G32" s="49" t="n">
        <f aca="false">(Hypothèses!B12-G31)*Hypothèses!B24</f>
        <v>5.2</v>
      </c>
      <c r="H32" s="49" t="n">
        <f aca="false">(Hypothèses!B12-H31)*Hypothèses!B24</f>
        <v>5.2</v>
      </c>
      <c r="J32" s="26"/>
      <c r="K32" s="26"/>
    </row>
    <row r="33" customFormat="false" ht="15" hidden="false" customHeight="false" outlineLevel="0" collapsed="false">
      <c r="A33" s="24" t="s">
        <v>84</v>
      </c>
      <c r="B33" s="50" t="str">
        <f aca="false">IF(Hypothèses!B24&gt;=Hypothèses!B25,"Oui ✓","Non")</f>
        <v>Oui ✓</v>
      </c>
      <c r="C33" s="50" t="str">
        <f aca="false">IF(Hypothèses!B24&gt;=Hypothèses!B25,"Oui ✓","Non")</f>
        <v>Oui ✓</v>
      </c>
      <c r="D33" s="50" t="str">
        <f aca="false">IF(Hypothèses!B24&gt;=Hypothèses!B25,"Oui ✓","Non")</f>
        <v>Oui ✓</v>
      </c>
      <c r="E33" s="50" t="str">
        <f aca="false">IF(Hypothèses!B24&gt;=Hypothèses!B25,"Oui ✓","Non")</f>
        <v>Oui ✓</v>
      </c>
      <c r="F33" s="50" t="str">
        <f aca="false">IF(Hypothèses!B24&gt;=Hypothèses!B25,"Oui ✓","Non")</f>
        <v>Oui ✓</v>
      </c>
      <c r="G33" s="50" t="str">
        <f aca="false">IF(Hypothèses!B24&gt;=Hypothèses!B25,"Oui ✓","Non")</f>
        <v>Oui ✓</v>
      </c>
      <c r="H33" s="50" t="str">
        <f aca="false">IF(Hypothèses!B24&gt;=Hypothèses!B25,"Oui ✓","Non")</f>
        <v>Oui ✓</v>
      </c>
      <c r="J33" s="26"/>
      <c r="K33" s="26"/>
    </row>
    <row r="35" customFormat="false" ht="15" hidden="false" customHeight="false" outlineLevel="0" collapsed="false">
      <c r="A35" s="21" t="s">
        <v>85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</row>
  </sheetData>
  <mergeCells count="8">
    <mergeCell ref="A1:K1"/>
    <mergeCell ref="A2:K2"/>
    <mergeCell ref="A5:K5"/>
    <mergeCell ref="A10:K10"/>
    <mergeCell ref="A20:K20"/>
    <mergeCell ref="A26:K26"/>
    <mergeCell ref="A30:K30"/>
    <mergeCell ref="A35:K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2026-04-11T17:49:18Z</dcterms:created>
  <dc:creator>openpyxl</dc:creator>
  <dc:description/>
  <dc:language>en-US</dc:language>
  <cp:lastModifiedBy/>
  <dcterms:modified xsi:type="dcterms:W3CDTF">2026-04-11T17:49:18Z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